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om99\Desktop\METODIKA_TVORBA\web\"/>
    </mc:Choice>
  </mc:AlternateContent>
  <xr:revisionPtr revIDLastSave="0" documentId="13_ncr:1_{702D740F-965D-4190-AE8A-F632821A8DEC}" xr6:coauthVersionLast="36" xr6:coauthVersionMax="36" xr10:uidLastSave="{00000000-0000-0000-0000-000000000000}"/>
  <bookViews>
    <workbookView xWindow="0" yWindow="0" windowWidth="28800" windowHeight="12225" xr2:uid="{82CA336A-5E59-49ED-9F3A-84278E828903}"/>
  </bookViews>
  <sheets>
    <sheet name="Referenční sestavy ZUM" sheetId="1" r:id="rId1"/>
    <sheet name="Referenční úhrad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36" i="1"/>
  <c r="J14" i="1" l="1"/>
  <c r="F4" i="2" l="1"/>
  <c r="F7" i="2"/>
  <c r="F9" i="2"/>
  <c r="Q18" i="2"/>
  <c r="Q9" i="2" l="1"/>
  <c r="F8" i="2"/>
  <c r="G8" i="2" s="1"/>
  <c r="L8" i="2" s="1"/>
  <c r="G7" i="2"/>
  <c r="F5" i="2"/>
  <c r="G3" i="2"/>
  <c r="L3" i="2" s="1"/>
  <c r="J27" i="1"/>
  <c r="J20" i="1"/>
  <c r="G2" i="2"/>
  <c r="L2" i="2" s="1"/>
  <c r="G12" i="2"/>
  <c r="L12" i="2" s="1"/>
  <c r="G11" i="2"/>
  <c r="G10" i="2"/>
  <c r="G9" i="2"/>
  <c r="L9" i="2" s="1"/>
  <c r="G6" i="2"/>
  <c r="G5" i="2"/>
  <c r="L5" i="2" s="1"/>
  <c r="G4" i="2"/>
  <c r="H6" i="2" l="1"/>
  <c r="I6" i="2" s="1"/>
  <c r="J6" i="2" s="1"/>
  <c r="H7" i="2"/>
  <c r="I7" i="2" s="1"/>
  <c r="J7" i="2" s="1"/>
  <c r="H3" i="2"/>
  <c r="I3" i="2" s="1"/>
  <c r="J3" i="2" s="1"/>
  <c r="H10" i="2"/>
  <c r="I10" i="2" s="1"/>
  <c r="J10" i="2" s="1"/>
  <c r="H11" i="2"/>
  <c r="I11" i="2" s="1"/>
  <c r="J11" i="2" s="1"/>
  <c r="H4" i="2"/>
  <c r="I4" i="2" s="1"/>
  <c r="J4" i="2" s="1"/>
  <c r="H5" i="2"/>
  <c r="I5" i="2" s="1"/>
  <c r="J5" i="2" s="1"/>
  <c r="L7" i="2"/>
  <c r="H9" i="2"/>
  <c r="I9" i="2" s="1"/>
  <c r="J9" i="2" s="1"/>
  <c r="L11" i="2"/>
  <c r="L4" i="2"/>
  <c r="H2" i="2"/>
  <c r="I2" i="2" s="1"/>
  <c r="J2" i="2" s="1"/>
  <c r="L6" i="2"/>
  <c r="H8" i="2"/>
  <c r="I8" i="2" s="1"/>
  <c r="J8" i="2" s="1"/>
  <c r="L10" i="2"/>
  <c r="H12" i="2"/>
  <c r="I12" i="2" s="1"/>
  <c r="J12" i="2" s="1"/>
  <c r="M4" i="2" l="1"/>
  <c r="M2" i="2"/>
  <c r="K8" i="2" s="1"/>
  <c r="M3" i="2"/>
  <c r="K9" i="2" l="1"/>
  <c r="K5" i="2"/>
  <c r="K2" i="2"/>
  <c r="P2" i="2"/>
  <c r="Q2" i="2" s="1"/>
  <c r="N2" i="2"/>
  <c r="O2" i="2" s="1"/>
  <c r="K7" i="2"/>
  <c r="K6" i="2"/>
  <c r="K10" i="2"/>
  <c r="K3" i="2"/>
  <c r="K11" i="2"/>
  <c r="K4" i="2"/>
  <c r="K12" i="2"/>
  <c r="J5" i="1" l="1"/>
</calcChain>
</file>

<file path=xl/sharedStrings.xml><?xml version="1.0" encoding="utf-8"?>
<sst xmlns="http://schemas.openxmlformats.org/spreadsheetml/2006/main" count="157" uniqueCount="84">
  <si>
    <t>KOD</t>
  </si>
  <si>
    <t>NAZ</t>
  </si>
  <si>
    <t>DOP</t>
  </si>
  <si>
    <t>VYR</t>
  </si>
  <si>
    <t>MFC (Kč)</t>
  </si>
  <si>
    <t>Počet ks v sestavě</t>
  </si>
  <si>
    <t xml:space="preserve">Součet sestava (Kč) </t>
  </si>
  <si>
    <t>NÁHRADA KOLENNÍHO KLOUBU SYSTÉM CYNTHIA PS CEMENTOVANÁ</t>
  </si>
  <si>
    <t>FEMORÁLNÍ KOMPONENTA,PS, VEL.10 AŽ 18,LEVÁ,PRAVÁ, 135421010S AŽ 135422018S</t>
  </si>
  <si>
    <t>DMT</t>
  </si>
  <si>
    <t>TIBIÁLNÍ VLOŽKA,PS, VEL.10 AŽ 18,TL.6 AŽ 16MM, 135430006S AŽ 135880016S</t>
  </si>
  <si>
    <t>TIBIÁLNÍ KOMPONENTA, VEL. 10 AŽ 18, 135860010S AŽ 135860018S</t>
  </si>
  <si>
    <t>PATELLA, EXCENTRICKÁ, VEL. 29 AŽ 41MM, 135510029S AŽ 135510041S</t>
  </si>
  <si>
    <t>0113948</t>
  </si>
  <si>
    <t>NÁHRADA KOLENNÍHO KLOUBU ATTUNE CEMENT.</t>
  </si>
  <si>
    <t>KOMPONENTA FEMORÁLNÍ COCR PS, NORMÁLNÍ,ÚZKÁ,VEL. 1-10,1504-10-101AŽ-226</t>
  </si>
  <si>
    <t>JAJ</t>
  </si>
  <si>
    <t>0113951</t>
  </si>
  <si>
    <t>NÁHRADA KOLENNÍHO KLOUBU ATTUNE NECEMENT.</t>
  </si>
  <si>
    <t>VLOŽKA TIBIÁLNÍ PE PS,VEL.1-10, 5-20MM, 1516-40-105 AŽ -41-020</t>
  </si>
  <si>
    <t>0113947</t>
  </si>
  <si>
    <t>KOMPONENTA TIBIÁLNÍ COCR,VEL.1-10,D.33-43MM,1506-X0-001 AŽ -X0-010 (X=0,7)</t>
  </si>
  <si>
    <t>0115437</t>
  </si>
  <si>
    <t>NÁHRADA KOLENNÍHO KLOUBU  PRIMÁRNÍ/REVIZNÍ ATTUNE</t>
  </si>
  <si>
    <t>PATELA PE,VEL.XX=29,32,35,38,41MM; ANATOM/DOME 1518-(1/2)0-0XX</t>
  </si>
  <si>
    <t>0114296</t>
  </si>
  <si>
    <t>NÁHRADA KOLENNÍHO KLOUBU PHYSICA KR, CR, PS, CEMENTOVANÁ</t>
  </si>
  <si>
    <t>KOMPONENTA FEMOR.COCRMO,P /L,VEL. 1-10,651X.09.110-1A0, 510-5A0 (X=1,3,5)</t>
  </si>
  <si>
    <t>LIM</t>
  </si>
  <si>
    <t>0114298</t>
  </si>
  <si>
    <t>KOMPONENTA TIBIÁLNÍ (TI6AL4V)+ZÁTKA PE,6522.15.0XX(XX=10-A0)</t>
  </si>
  <si>
    <t>0114299</t>
  </si>
  <si>
    <t>NÁHRADA KOLENNÍHO KLOUBU PHYSICA</t>
  </si>
  <si>
    <t>VLOŽKA TIBIÁLNÍ KR,CR,PS (UHMWPE) 653X.50.110-A20,(X=1-3,5) VEL. 1-10, V10-20 MM</t>
  </si>
  <si>
    <t>0114301</t>
  </si>
  <si>
    <t>PATELLA (UHMWPE),PR. 29 AŽ 41 MM  6595.50.029 AŽ 041</t>
  </si>
  <si>
    <t>0114297</t>
  </si>
  <si>
    <t>NÁHRADA KOLENNÍHO KLOUBU PHYSICA PS</t>
  </si>
  <si>
    <t>ČEP (PEG) PRO KOMPONENTU FEMOR. PS COCRMO,6515.09.900</t>
  </si>
  <si>
    <t>UHR1 (Kč)</t>
  </si>
  <si>
    <t>MAT</t>
  </si>
  <si>
    <t>0111846</t>
  </si>
  <si>
    <t>NÁHRADA KOLENNÍHO KLOUBU BALANSYS CEMENTOVANÁ</t>
  </si>
  <si>
    <t>KOMPONENTA FEMORÁLNÍ COCRMO PS,VEL.60-76MM L:79.15.0001 AŽ 79.15.0015</t>
  </si>
  <si>
    <t>0111844</t>
  </si>
  <si>
    <t>KOMPONENTA TIBIÁLNÍ COCRMO PS,VEL.59-85MM,79.15.0400 AŽ 0060</t>
  </si>
  <si>
    <t>0111837</t>
  </si>
  <si>
    <t>NÁHRADA KOLENNÍHO KLOUBU BALANSYS</t>
  </si>
  <si>
    <t>VLOŽKA TIB. PE VÝŠKA:8-20,5MM,VEL.A-E,78.30.6208 AŽ 7820</t>
  </si>
  <si>
    <t>0111824</t>
  </si>
  <si>
    <t>PATELLA PE 3 PEG,PRŮMĚR 28-37MM, 72.34.0050,-51,-52,-53</t>
  </si>
  <si>
    <t>NÁHRADA KOLENNÍHO KLOUBU GENESIS II CEMENTOVANÁ</t>
  </si>
  <si>
    <t>NÁHRADA KOLENNÍHO KLOUBU VANGUARD PS CEMENT.</t>
  </si>
  <si>
    <t>NÁHRADA KOLENNÍHO KLOUBU ACS CEMENTOVANÁ</t>
  </si>
  <si>
    <t>NÁHRADA KOLENNÍHO KLOUBU QUADROFIT CEMENT.</t>
  </si>
  <si>
    <t>Synthes: viz předložená dokumentace</t>
  </si>
  <si>
    <t>NÁHRADA KOL. KLOUBU COLUMBUS CEMENT.</t>
  </si>
  <si>
    <t>OZN</t>
  </si>
  <si>
    <t>UHR1</t>
  </si>
  <si>
    <t>Počet ks (VZP+SZP 2022)</t>
  </si>
  <si>
    <t>Počet ks (VZP+SZP 2022) bez error</t>
  </si>
  <si>
    <t>Procentuální zastoupení (%)</t>
  </si>
  <si>
    <t>Větší, nebo roven než 10 %</t>
  </si>
  <si>
    <t>UHR1 dle p. zastoupení (Kč)</t>
  </si>
  <si>
    <t>Počet ks 3 nejmenších UHR1 dle %</t>
  </si>
  <si>
    <t>UHR1 alespoň 1 ks (Kč)</t>
  </si>
  <si>
    <t>3 nejmenší UHR1 dle %</t>
  </si>
  <si>
    <t>Průměr 2. a 3. nejmenší (Kč)</t>
  </si>
  <si>
    <t>Průměr 2. a 3. nejmenší oproti 1. (%)</t>
  </si>
  <si>
    <t>Jsou alespoň 3 nad 10 %</t>
  </si>
  <si>
    <t>Referenční úhrada (Kč)</t>
  </si>
  <si>
    <t>Referenční úhrada</t>
  </si>
  <si>
    <t>Cena za sestavu</t>
  </si>
  <si>
    <t>Rozdíl</t>
  </si>
  <si>
    <t>Hodnocený systém</t>
  </si>
  <si>
    <t>Komparativní systémy</t>
  </si>
  <si>
    <t xml:space="preserve">LimaCorporate: </t>
  </si>
  <si>
    <t>MAT:</t>
  </si>
  <si>
    <t>VZOR_1</t>
  </si>
  <si>
    <t>VZOR_2</t>
  </si>
  <si>
    <t>Předchozí verze systému</t>
  </si>
  <si>
    <t>Hodnocený systém/nová verze systému</t>
  </si>
  <si>
    <t>NÁHRADA KOLENNÍHO KLOUBU SYSTÉM CYNTHIA PS CEMENTOVANÁ,1</t>
  </si>
  <si>
    <t>NÁHRADA KOLENNÍHO KLOUBU SYSTÉM CYNTHIA PS CEMENTOVANÁ,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</si>
</sst>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"/>
    <numFmt numFmtId="165" formatCode="0.0000"/>
    <numFmt numFmtId="166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4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1F4FF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/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/>
    <xf numFmtId="0" fontId="1" fillId="0" borderId="0" xfId="0" applyFont="1" applyBorder="1" applyAlignment="1">
      <alignment horizontal="left" vertical="top"/>
    </xf>
    <xf numFmtId="0" fontId="1" fillId="0" borderId="6" xfId="0" applyFont="1" applyBorder="1"/>
    <xf numFmtId="49" fontId="0" fillId="0" borderId="0" xfId="0" applyNumberFormat="1"/>
    <xf numFmtId="164" fontId="0" fillId="0" borderId="1" xfId="0" applyNumberFormat="1" applyBorder="1"/>
    <xf numFmtId="0" fontId="1" fillId="0" borderId="0" xfId="0" applyFont="1"/>
    <xf numFmtId="1" fontId="0" fillId="0" borderId="0" xfId="0" applyNumberFormat="1"/>
    <xf numFmtId="1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indent="1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2" fontId="0" fillId="0" borderId="0" xfId="0" applyNumberFormat="1"/>
    <xf numFmtId="2" fontId="0" fillId="0" borderId="1" xfId="0" applyNumberFormat="1" applyBorder="1"/>
    <xf numFmtId="0" fontId="0" fillId="0" borderId="13" xfId="0" applyBorder="1"/>
    <xf numFmtId="1" fontId="0" fillId="4" borderId="14" xfId="0" applyNumberFormat="1" applyFill="1" applyBorder="1"/>
    <xf numFmtId="1" fontId="0" fillId="4" borderId="15" xfId="0" applyNumberFormat="1" applyFill="1" applyBorder="1"/>
    <xf numFmtId="2" fontId="0" fillId="4" borderId="16" xfId="0" applyNumberFormat="1" applyFill="1" applyBorder="1"/>
    <xf numFmtId="0" fontId="5" fillId="5" borderId="14" xfId="0" applyFont="1" applyFill="1" applyBorder="1" applyAlignment="1">
      <alignment wrapText="1"/>
    </xf>
    <xf numFmtId="0" fontId="5" fillId="5" borderId="16" xfId="0" applyFont="1" applyFill="1" applyBorder="1" applyAlignment="1">
      <alignment wrapText="1"/>
    </xf>
    <xf numFmtId="0" fontId="6" fillId="6" borderId="14" xfId="0" applyFont="1" applyFill="1" applyBorder="1" applyAlignment="1">
      <alignment wrapText="1"/>
    </xf>
    <xf numFmtId="0" fontId="6" fillId="6" borderId="16" xfId="0" applyFont="1" applyFill="1" applyBorder="1" applyAlignment="1">
      <alignment wrapText="1"/>
    </xf>
    <xf numFmtId="0" fontId="0" fillId="6" borderId="14" xfId="0" applyFont="1" applyFill="1" applyBorder="1" applyAlignment="1">
      <alignment wrapText="1"/>
    </xf>
    <xf numFmtId="0" fontId="0" fillId="6" borderId="17" xfId="0" applyFont="1" applyFill="1" applyBorder="1" applyAlignment="1">
      <alignment wrapText="1"/>
    </xf>
    <xf numFmtId="0" fontId="0" fillId="6" borderId="15" xfId="0" applyFont="1" applyFill="1" applyBorder="1" applyAlignment="1">
      <alignment horizontal="center" wrapText="1"/>
    </xf>
    <xf numFmtId="0" fontId="0" fillId="6" borderId="15" xfId="0" applyFont="1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49" fontId="0" fillId="0" borderId="0" xfId="0" applyNumberFormat="1" applyFill="1"/>
    <xf numFmtId="3" fontId="0" fillId="0" borderId="0" xfId="0" applyNumberFormat="1"/>
    <xf numFmtId="0" fontId="0" fillId="0" borderId="0" xfId="0" applyFill="1"/>
    <xf numFmtId="2" fontId="7" fillId="3" borderId="18" xfId="1" applyNumberFormat="1" applyFont="1" applyBorder="1"/>
    <xf numFmtId="1" fontId="0" fillId="7" borderId="0" xfId="0" applyNumberFormat="1" applyFill="1"/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9" fillId="7" borderId="0" xfId="0" applyFont="1" applyFill="1"/>
    <xf numFmtId="166" fontId="8" fillId="7" borderId="0" xfId="0" applyNumberFormat="1" applyFont="1" applyFill="1"/>
    <xf numFmtId="166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0" fillId="2" borderId="10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right" vertical="top"/>
    </xf>
  </cellXfs>
  <cellStyles count="2">
    <cellStyle name="Normální" xfId="0" builtinId="0"/>
    <cellStyle name="Správně" xfId="1" builtinId="26"/>
  </cellStyles>
  <dxfs count="3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4729-9166-41AA-BC08-D0304A9E2493}">
  <dimension ref="A1:M47"/>
  <sheetViews>
    <sheetView tabSelected="1" workbookViewId="0">
      <selection activeCell="C55" sqref="C55"/>
    </sheetView>
  </sheetViews>
  <sheetFormatPr defaultRowHeight="15" x14ac:dyDescent="0.25"/>
  <cols>
    <col min="1" max="1" width="14.140625" bestFit="1" customWidth="1"/>
    <col min="3" max="3" width="64.7109375" bestFit="1" customWidth="1"/>
    <col min="4" max="4" width="84.42578125" bestFit="1" customWidth="1"/>
    <col min="7" max="7" width="11" bestFit="1" customWidth="1"/>
    <col min="8" max="8" width="17" bestFit="1" customWidth="1"/>
    <col min="10" max="10" width="17.85546875" bestFit="1" customWidth="1"/>
  </cols>
  <sheetData>
    <row r="1" spans="1:13" ht="23.25" x14ac:dyDescent="0.35">
      <c r="A1" s="56" t="s">
        <v>75</v>
      </c>
      <c r="B1" s="56"/>
      <c r="C1" s="56"/>
    </row>
    <row r="2" spans="1:13" ht="24" thickBot="1" x14ac:dyDescent="0.4">
      <c r="A2" s="53" t="s">
        <v>78</v>
      </c>
      <c r="B2" s="51"/>
      <c r="C2" s="51"/>
    </row>
    <row r="3" spans="1:13" x14ac:dyDescent="0.25">
      <c r="A3" s="57" t="s">
        <v>74</v>
      </c>
      <c r="B3" s="58"/>
      <c r="C3" s="58"/>
      <c r="D3" s="1"/>
      <c r="E3" s="1"/>
      <c r="F3" s="1"/>
      <c r="G3" s="1"/>
      <c r="H3" s="1"/>
      <c r="I3" s="1"/>
      <c r="J3" s="1"/>
      <c r="K3" s="2"/>
    </row>
    <row r="4" spans="1:13" x14ac:dyDescent="0.25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/>
      <c r="H4" s="10" t="s">
        <v>5</v>
      </c>
      <c r="I4" s="10"/>
      <c r="J4" s="10" t="s">
        <v>6</v>
      </c>
      <c r="K4" s="11"/>
    </row>
    <row r="5" spans="1:13" ht="18" customHeight="1" x14ac:dyDescent="0.25">
      <c r="A5" s="66">
        <v>1</v>
      </c>
      <c r="B5" s="4"/>
      <c r="C5" s="6" t="s">
        <v>7</v>
      </c>
      <c r="D5" s="6" t="s">
        <v>8</v>
      </c>
      <c r="E5" s="23" t="s">
        <v>9</v>
      </c>
      <c r="F5" s="19">
        <v>27945</v>
      </c>
      <c r="G5" s="4"/>
      <c r="H5" s="21">
        <v>1</v>
      </c>
      <c r="I5" s="4"/>
      <c r="J5" s="59">
        <f>SUM((F5*H5)+(F6*H6)+(F7*H7)+(F8*H8))</f>
        <v>65138</v>
      </c>
      <c r="K5" s="5"/>
      <c r="M5" s="44"/>
    </row>
    <row r="6" spans="1:13" ht="17.25" customHeight="1" x14ac:dyDescent="0.25">
      <c r="A6" s="66">
        <v>2</v>
      </c>
      <c r="B6" s="4"/>
      <c r="C6" s="6" t="s">
        <v>7</v>
      </c>
      <c r="D6" s="6" t="s">
        <v>10</v>
      </c>
      <c r="E6" s="23" t="s">
        <v>9</v>
      </c>
      <c r="F6" s="19">
        <v>12820</v>
      </c>
      <c r="G6" s="4"/>
      <c r="H6" s="21">
        <v>1</v>
      </c>
      <c r="I6" s="4"/>
      <c r="J6" s="60"/>
      <c r="K6" s="5"/>
    </row>
    <row r="7" spans="1:13" x14ac:dyDescent="0.25">
      <c r="A7" s="66">
        <v>3</v>
      </c>
      <c r="B7" s="4"/>
      <c r="C7" s="6" t="s">
        <v>7</v>
      </c>
      <c r="D7" s="6" t="s">
        <v>11</v>
      </c>
      <c r="E7" s="23" t="s">
        <v>9</v>
      </c>
      <c r="F7" s="19">
        <v>19060</v>
      </c>
      <c r="G7" s="4"/>
      <c r="H7" s="21">
        <v>1</v>
      </c>
      <c r="I7" s="4"/>
      <c r="J7" s="60"/>
      <c r="K7" s="5"/>
    </row>
    <row r="8" spans="1:13" x14ac:dyDescent="0.25">
      <c r="A8" s="66">
        <v>4</v>
      </c>
      <c r="B8" s="4"/>
      <c r="C8" s="4" t="s">
        <v>7</v>
      </c>
      <c r="D8" s="4" t="s">
        <v>12</v>
      </c>
      <c r="E8" s="23" t="s">
        <v>9</v>
      </c>
      <c r="F8" s="19">
        <v>5313</v>
      </c>
      <c r="G8" s="4"/>
      <c r="H8" s="21">
        <v>1</v>
      </c>
      <c r="I8" s="4"/>
      <c r="J8" s="61"/>
      <c r="K8" s="5"/>
    </row>
    <row r="9" spans="1:13" ht="15.75" thickBot="1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9"/>
    </row>
    <row r="12" spans="1:13" x14ac:dyDescent="0.25">
      <c r="A12" s="65" t="s">
        <v>55</v>
      </c>
      <c r="B12" s="65"/>
      <c r="C12" s="65"/>
    </row>
    <row r="13" spans="1:13" x14ac:dyDescent="0.25">
      <c r="B13" s="14" t="s">
        <v>0</v>
      </c>
      <c r="C13" s="14" t="s">
        <v>1</v>
      </c>
      <c r="D13" s="14" t="s">
        <v>2</v>
      </c>
      <c r="E13" s="14" t="s">
        <v>3</v>
      </c>
      <c r="F13" s="14" t="s">
        <v>39</v>
      </c>
      <c r="G13" s="14"/>
      <c r="H13" s="14" t="s">
        <v>5</v>
      </c>
      <c r="I13" s="14"/>
      <c r="J13" s="14" t="s">
        <v>6</v>
      </c>
      <c r="K13" s="14"/>
    </row>
    <row r="14" spans="1:13" x14ac:dyDescent="0.25">
      <c r="A14">
        <v>1</v>
      </c>
      <c r="B14" s="12" t="s">
        <v>13</v>
      </c>
      <c r="C14" t="s">
        <v>14</v>
      </c>
      <c r="D14" t="s">
        <v>15</v>
      </c>
      <c r="E14" s="18" t="s">
        <v>16</v>
      </c>
      <c r="F14" s="13">
        <v>33779.199999999997</v>
      </c>
      <c r="G14" s="45"/>
      <c r="H14" s="17">
        <v>1</v>
      </c>
      <c r="J14" s="54">
        <f>SUM((F14*H14)+(F15*H15)+(F16*H16)+(F17*H17))</f>
        <v>75394.62999999999</v>
      </c>
      <c r="L14" s="20"/>
    </row>
    <row r="15" spans="1:13" x14ac:dyDescent="0.25">
      <c r="A15">
        <v>2</v>
      </c>
      <c r="B15" s="12" t="s">
        <v>17</v>
      </c>
      <c r="C15" s="12" t="s">
        <v>18</v>
      </c>
      <c r="D15" s="12" t="s">
        <v>19</v>
      </c>
      <c r="E15" s="18" t="s">
        <v>16</v>
      </c>
      <c r="F15" s="13">
        <v>10296</v>
      </c>
      <c r="G15" s="46"/>
      <c r="H15" s="17">
        <v>1</v>
      </c>
      <c r="J15" s="54"/>
    </row>
    <row r="16" spans="1:13" x14ac:dyDescent="0.25">
      <c r="A16">
        <v>3</v>
      </c>
      <c r="B16" s="12" t="s">
        <v>20</v>
      </c>
      <c r="C16" s="12" t="s">
        <v>14</v>
      </c>
      <c r="D16" s="12" t="s">
        <v>21</v>
      </c>
      <c r="E16" s="18" t="s">
        <v>16</v>
      </c>
      <c r="F16" s="13">
        <v>24889.73</v>
      </c>
      <c r="G16" s="46"/>
      <c r="H16" s="17">
        <v>1</v>
      </c>
      <c r="J16" s="54"/>
    </row>
    <row r="17" spans="1:12" x14ac:dyDescent="0.25">
      <c r="A17">
        <v>4</v>
      </c>
      <c r="B17" s="12" t="s">
        <v>22</v>
      </c>
      <c r="C17" s="12" t="s">
        <v>23</v>
      </c>
      <c r="D17" s="12" t="s">
        <v>24</v>
      </c>
      <c r="E17" s="18" t="s">
        <v>16</v>
      </c>
      <c r="F17" s="13">
        <v>6429.7</v>
      </c>
      <c r="G17" s="46"/>
      <c r="H17" s="17">
        <v>1</v>
      </c>
      <c r="J17" s="54"/>
    </row>
    <row r="18" spans="1:12" x14ac:dyDescent="0.25">
      <c r="E18" s="18"/>
    </row>
    <row r="19" spans="1:12" x14ac:dyDescent="0.25">
      <c r="A19" s="65" t="s">
        <v>76</v>
      </c>
      <c r="B19" s="65"/>
      <c r="C19" s="65"/>
      <c r="E19" s="18"/>
    </row>
    <row r="20" spans="1:12" x14ac:dyDescent="0.25">
      <c r="A20">
        <v>1</v>
      </c>
      <c r="B20" s="16" t="s">
        <v>25</v>
      </c>
      <c r="C20" s="15" t="s">
        <v>26</v>
      </c>
      <c r="D20" s="15" t="s">
        <v>27</v>
      </c>
      <c r="E20" s="22" t="s">
        <v>28</v>
      </c>
      <c r="F20" s="25">
        <v>28042.560000000001</v>
      </c>
      <c r="G20" s="24"/>
      <c r="H20" s="17">
        <v>1</v>
      </c>
      <c r="J20" s="62">
        <f>SUM(F20:F24)</f>
        <v>58141.580000000009</v>
      </c>
    </row>
    <row r="21" spans="1:12" x14ac:dyDescent="0.25">
      <c r="A21">
        <v>2</v>
      </c>
      <c r="B21" s="16" t="s">
        <v>29</v>
      </c>
      <c r="C21" s="15" t="s">
        <v>26</v>
      </c>
      <c r="D21" s="15" t="s">
        <v>30</v>
      </c>
      <c r="E21" s="22" t="s">
        <v>28</v>
      </c>
      <c r="F21" s="25">
        <v>17324.07</v>
      </c>
      <c r="G21" s="24"/>
      <c r="H21" s="17">
        <v>1</v>
      </c>
      <c r="J21" s="63"/>
    </row>
    <row r="22" spans="1:12" x14ac:dyDescent="0.25">
      <c r="A22">
        <v>3</v>
      </c>
      <c r="B22" s="16" t="s">
        <v>31</v>
      </c>
      <c r="C22" s="15" t="s">
        <v>32</v>
      </c>
      <c r="D22" s="15" t="s">
        <v>33</v>
      </c>
      <c r="E22" s="22" t="s">
        <v>28</v>
      </c>
      <c r="F22" s="25">
        <v>5296.93</v>
      </c>
      <c r="G22" s="24"/>
      <c r="H22" s="17">
        <v>1</v>
      </c>
      <c r="J22" s="63"/>
    </row>
    <row r="23" spans="1:12" x14ac:dyDescent="0.25">
      <c r="A23">
        <v>4</v>
      </c>
      <c r="B23" s="16" t="s">
        <v>34</v>
      </c>
      <c r="C23" s="15" t="s">
        <v>32</v>
      </c>
      <c r="D23" s="15" t="s">
        <v>35</v>
      </c>
      <c r="E23" s="22" t="s">
        <v>28</v>
      </c>
      <c r="F23" s="25">
        <v>2804.26</v>
      </c>
      <c r="G23" s="24"/>
      <c r="H23" s="17">
        <v>1</v>
      </c>
      <c r="J23" s="63"/>
    </row>
    <row r="24" spans="1:12" x14ac:dyDescent="0.25">
      <c r="A24">
        <v>5</v>
      </c>
      <c r="B24" s="16" t="s">
        <v>36</v>
      </c>
      <c r="C24" s="15" t="s">
        <v>37</v>
      </c>
      <c r="D24" s="15" t="s">
        <v>38</v>
      </c>
      <c r="E24" s="22" t="s">
        <v>28</v>
      </c>
      <c r="F24" s="25">
        <v>4673.76</v>
      </c>
      <c r="G24" s="24"/>
      <c r="H24" s="17">
        <v>1</v>
      </c>
      <c r="J24" s="64"/>
    </row>
    <row r="25" spans="1:12" x14ac:dyDescent="0.25">
      <c r="E25" s="18"/>
      <c r="J25" s="47"/>
      <c r="L25" s="24"/>
    </row>
    <row r="26" spans="1:12" x14ac:dyDescent="0.25">
      <c r="A26" s="65" t="s">
        <v>77</v>
      </c>
      <c r="B26" s="65"/>
      <c r="C26" s="65"/>
      <c r="E26" s="18"/>
      <c r="J26" s="47"/>
    </row>
    <row r="27" spans="1:12" x14ac:dyDescent="0.25">
      <c r="A27">
        <v>1</v>
      </c>
      <c r="B27" s="16" t="s">
        <v>41</v>
      </c>
      <c r="C27" s="15" t="s">
        <v>42</v>
      </c>
      <c r="D27" s="15" t="s">
        <v>43</v>
      </c>
      <c r="E27" s="22" t="s">
        <v>40</v>
      </c>
      <c r="F27" s="24">
        <v>23492.05</v>
      </c>
      <c r="G27" s="24"/>
      <c r="H27" s="17">
        <v>1</v>
      </c>
      <c r="J27" s="54">
        <f>SUM(F27:F30)</f>
        <v>62711.21</v>
      </c>
    </row>
    <row r="28" spans="1:12" x14ac:dyDescent="0.25">
      <c r="A28">
        <v>2</v>
      </c>
      <c r="B28" s="16" t="s">
        <v>44</v>
      </c>
      <c r="C28" s="15" t="s">
        <v>42</v>
      </c>
      <c r="D28" s="15" t="s">
        <v>45</v>
      </c>
      <c r="E28" s="22" t="s">
        <v>40</v>
      </c>
      <c r="F28" s="24">
        <v>20161.54</v>
      </c>
      <c r="G28" s="24"/>
      <c r="H28" s="17">
        <v>1</v>
      </c>
      <c r="J28" s="55"/>
    </row>
    <row r="29" spans="1:12" x14ac:dyDescent="0.25">
      <c r="A29">
        <v>3</v>
      </c>
      <c r="B29" s="16" t="s">
        <v>46</v>
      </c>
      <c r="C29" s="15" t="s">
        <v>47</v>
      </c>
      <c r="D29" s="15" t="s">
        <v>48</v>
      </c>
      <c r="E29" s="22" t="s">
        <v>40</v>
      </c>
      <c r="F29" s="24">
        <v>12912.33</v>
      </c>
      <c r="G29" s="24"/>
      <c r="H29" s="17">
        <v>1</v>
      </c>
      <c r="J29" s="55"/>
    </row>
    <row r="30" spans="1:12" x14ac:dyDescent="0.25">
      <c r="A30">
        <v>4</v>
      </c>
      <c r="B30" s="16" t="s">
        <v>49</v>
      </c>
      <c r="C30" s="15" t="s">
        <v>47</v>
      </c>
      <c r="D30" s="15" t="s">
        <v>50</v>
      </c>
      <c r="E30" s="22" t="s">
        <v>40</v>
      </c>
      <c r="F30" s="24">
        <v>6145.29</v>
      </c>
      <c r="G30" s="24"/>
      <c r="H30" s="17">
        <v>1</v>
      </c>
      <c r="J30" s="55"/>
      <c r="L30" s="24"/>
    </row>
    <row r="31" spans="1:12" x14ac:dyDescent="0.25">
      <c r="E31" s="18"/>
      <c r="J31" s="47"/>
    </row>
    <row r="32" spans="1:12" x14ac:dyDescent="0.25">
      <c r="E32" s="18"/>
      <c r="H32" s="18"/>
      <c r="J32" s="47"/>
    </row>
    <row r="33" spans="1:11" ht="24" thickBot="1" x14ac:dyDescent="0.4">
      <c r="A33" s="53" t="s">
        <v>79</v>
      </c>
      <c r="B33" s="52"/>
      <c r="C33" s="52"/>
    </row>
    <row r="34" spans="1:11" x14ac:dyDescent="0.25">
      <c r="A34" s="57" t="s">
        <v>81</v>
      </c>
      <c r="B34" s="58"/>
      <c r="C34" s="58"/>
      <c r="D34" s="1"/>
      <c r="E34" s="1"/>
      <c r="F34" s="1"/>
      <c r="G34" s="1"/>
      <c r="H34" s="1"/>
      <c r="I34" s="1"/>
      <c r="J34" s="1"/>
      <c r="K34" s="2"/>
    </row>
    <row r="35" spans="1:11" x14ac:dyDescent="0.25">
      <c r="A35" s="3"/>
      <c r="B35" s="10" t="s">
        <v>0</v>
      </c>
      <c r="C35" s="10" t="s">
        <v>1</v>
      </c>
      <c r="D35" s="10" t="s">
        <v>2</v>
      </c>
      <c r="E35" s="10" t="s">
        <v>3</v>
      </c>
      <c r="F35" s="10" t="s">
        <v>4</v>
      </c>
      <c r="G35" s="10"/>
      <c r="H35" s="10" t="s">
        <v>5</v>
      </c>
      <c r="I35" s="10"/>
      <c r="J35" s="10" t="s">
        <v>6</v>
      </c>
      <c r="K35" s="11"/>
    </row>
    <row r="36" spans="1:11" x14ac:dyDescent="0.25">
      <c r="A36" s="66">
        <v>1</v>
      </c>
      <c r="B36" s="4"/>
      <c r="C36" s="6" t="s">
        <v>83</v>
      </c>
      <c r="D36" s="6" t="s">
        <v>8</v>
      </c>
      <c r="E36" s="23" t="s">
        <v>9</v>
      </c>
      <c r="F36" s="19">
        <v>27945</v>
      </c>
      <c r="G36" s="4"/>
      <c r="H36" s="21">
        <v>1</v>
      </c>
      <c r="I36" s="4"/>
      <c r="J36" s="59">
        <f>SUM((F36*H36)+(F37*H37)+(F38*H38)+(F39*H39))</f>
        <v>65138</v>
      </c>
      <c r="K36" s="5"/>
    </row>
    <row r="37" spans="1:11" x14ac:dyDescent="0.25">
      <c r="A37" s="66">
        <v>2</v>
      </c>
      <c r="B37" s="4"/>
      <c r="C37" s="6" t="s">
        <v>83</v>
      </c>
      <c r="D37" s="6" t="s">
        <v>10</v>
      </c>
      <c r="E37" s="23" t="s">
        <v>9</v>
      </c>
      <c r="F37" s="19">
        <v>12820</v>
      </c>
      <c r="G37" s="4"/>
      <c r="H37" s="21">
        <v>1</v>
      </c>
      <c r="I37" s="4"/>
      <c r="J37" s="60"/>
      <c r="K37" s="5"/>
    </row>
    <row r="38" spans="1:11" x14ac:dyDescent="0.25">
      <c r="A38" s="66">
        <v>3</v>
      </c>
      <c r="B38" s="4"/>
      <c r="C38" s="6" t="s">
        <v>83</v>
      </c>
      <c r="D38" s="6" t="s">
        <v>11</v>
      </c>
      <c r="E38" s="23" t="s">
        <v>9</v>
      </c>
      <c r="F38" s="19">
        <v>19060</v>
      </c>
      <c r="G38" s="4"/>
      <c r="H38" s="21">
        <v>1</v>
      </c>
      <c r="I38" s="4"/>
      <c r="J38" s="60"/>
      <c r="K38" s="5"/>
    </row>
    <row r="39" spans="1:11" x14ac:dyDescent="0.25">
      <c r="A39" s="66">
        <v>4</v>
      </c>
      <c r="B39" s="4"/>
      <c r="C39" s="6" t="s">
        <v>83</v>
      </c>
      <c r="D39" s="4" t="s">
        <v>12</v>
      </c>
      <c r="E39" s="23" t="s">
        <v>9</v>
      </c>
      <c r="F39" s="19">
        <v>5313</v>
      </c>
      <c r="G39" s="4"/>
      <c r="H39" s="21">
        <v>1</v>
      </c>
      <c r="I39" s="4"/>
      <c r="J39" s="61"/>
      <c r="K39" s="5"/>
    </row>
    <row r="40" spans="1:11" ht="15.75" thickBot="1" x14ac:dyDescent="0.3">
      <c r="A40" s="7"/>
      <c r="B40" s="8"/>
      <c r="C40" s="8"/>
      <c r="D40" s="8"/>
      <c r="E40" s="8"/>
      <c r="F40" s="8"/>
      <c r="G40" s="8"/>
      <c r="H40" s="8"/>
      <c r="I40" s="8"/>
      <c r="J40" s="8"/>
      <c r="K40" s="9"/>
    </row>
    <row r="42" spans="1:11" x14ac:dyDescent="0.25">
      <c r="A42" s="65" t="s">
        <v>80</v>
      </c>
      <c r="B42" s="65"/>
      <c r="C42" s="65"/>
    </row>
    <row r="43" spans="1:11" x14ac:dyDescent="0.25">
      <c r="B43" s="14" t="s">
        <v>0</v>
      </c>
      <c r="C43" s="14" t="s">
        <v>1</v>
      </c>
      <c r="D43" s="14" t="s">
        <v>2</v>
      </c>
      <c r="E43" s="14" t="s">
        <v>3</v>
      </c>
      <c r="F43" s="14" t="s">
        <v>39</v>
      </c>
      <c r="G43" s="14"/>
      <c r="H43" s="14" t="s">
        <v>5</v>
      </c>
      <c r="I43" s="14"/>
      <c r="J43" s="14" t="s">
        <v>6</v>
      </c>
      <c r="K43" s="14"/>
    </row>
    <row r="44" spans="1:11" x14ac:dyDescent="0.25">
      <c r="A44">
        <v>1</v>
      </c>
      <c r="B44" s="12" t="s">
        <v>13</v>
      </c>
      <c r="C44" s="6" t="s">
        <v>82</v>
      </c>
      <c r="D44" t="s">
        <v>15</v>
      </c>
      <c r="E44" s="23" t="s">
        <v>9</v>
      </c>
      <c r="F44" s="19">
        <v>27945</v>
      </c>
      <c r="G44" s="45"/>
      <c r="H44" s="17">
        <v>1</v>
      </c>
      <c r="J44" s="54">
        <f>SUM((F44*H44)+(F45*H45)+(F46*H46)+(F47*H47))</f>
        <v>65138</v>
      </c>
    </row>
    <row r="45" spans="1:11" x14ac:dyDescent="0.25">
      <c r="A45">
        <v>2</v>
      </c>
      <c r="B45" s="12" t="s">
        <v>17</v>
      </c>
      <c r="C45" s="6" t="s">
        <v>82</v>
      </c>
      <c r="D45" s="12" t="s">
        <v>19</v>
      </c>
      <c r="E45" s="23" t="s">
        <v>9</v>
      </c>
      <c r="F45" s="19">
        <v>12820</v>
      </c>
      <c r="G45" s="46"/>
      <c r="H45" s="17">
        <v>1</v>
      </c>
      <c r="J45" s="54"/>
    </row>
    <row r="46" spans="1:11" x14ac:dyDescent="0.25">
      <c r="A46">
        <v>3</v>
      </c>
      <c r="B46" s="12" t="s">
        <v>20</v>
      </c>
      <c r="C46" s="6" t="s">
        <v>82</v>
      </c>
      <c r="D46" s="12" t="s">
        <v>21</v>
      </c>
      <c r="E46" s="23" t="s">
        <v>9</v>
      </c>
      <c r="F46" s="19">
        <v>19060</v>
      </c>
      <c r="G46" s="46"/>
      <c r="H46" s="17">
        <v>1</v>
      </c>
      <c r="J46" s="54"/>
    </row>
    <row r="47" spans="1:11" x14ac:dyDescent="0.25">
      <c r="A47">
        <v>4</v>
      </c>
      <c r="B47" s="12" t="s">
        <v>22</v>
      </c>
      <c r="C47" s="6" t="s">
        <v>82</v>
      </c>
      <c r="D47" s="12" t="s">
        <v>24</v>
      </c>
      <c r="E47" s="23" t="s">
        <v>9</v>
      </c>
      <c r="F47" s="19">
        <v>5313</v>
      </c>
      <c r="G47" s="46"/>
      <c r="H47" s="17">
        <v>1</v>
      </c>
      <c r="J47" s="54"/>
    </row>
  </sheetData>
  <mergeCells count="13">
    <mergeCell ref="A34:C34"/>
    <mergeCell ref="J36:J39"/>
    <mergeCell ref="A42:C42"/>
    <mergeCell ref="J44:J47"/>
    <mergeCell ref="J27:J30"/>
    <mergeCell ref="A1:C1"/>
    <mergeCell ref="A3:C3"/>
    <mergeCell ref="J5:J8"/>
    <mergeCell ref="J14:J17"/>
    <mergeCell ref="J20:J24"/>
    <mergeCell ref="A12:C12"/>
    <mergeCell ref="A26:C26"/>
    <mergeCell ref="A19:C19"/>
  </mergeCells>
  <dataValidations count="2">
    <dataValidation type="textLength" operator="lessThanOrEqual" allowBlank="1" showInputMessage="1" showErrorMessage="1" errorTitle="NAZ - Název ZP" error="Zřejmě jste překročili povolený počet znaků (70)." promptTitle="NAZ - Název ZP _________________" prompt="_x000a_- vše VELKÝMI PÍSMENY_x000a_- maximálně 70 znaků_x000a_- příklad formulace NAZ:_x000a__x000a_ZP: balónkový koronární katétr -_x000a_KATÉTR KORONÁRNÍ BALÓNKOVÝ" sqref="C5:C7 C44:C47 C36:C39" xr:uid="{A2A3BCC6-9D6E-45FA-B98E-0D7FB5AFC17A}">
      <formula1>70</formula1>
    </dataValidation>
    <dataValidation type="textLength" operator="lessThanOrEqual" allowBlank="1" showInputMessage="1" showErrorMessage="1" errorTitle="DOP - Doplněk názvu ZP" error="Zřejmě jste překročili povolený počet znaků (80)." promptTitle="DOP - Doplněk názvu ZP _________" prompt="_x000a_- vše VELKÝMI PÍSMENY_x000a_- maximálně 80 znaků" sqref="D5:D7 D36:D38" xr:uid="{3A5FDD4B-2476-41FB-8C57-65796CAFE33F}">
      <formula1>80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EAA8-7096-4FED-BF74-7280012F08DA}">
  <dimension ref="A1:Q18"/>
  <sheetViews>
    <sheetView workbookViewId="0">
      <selection activeCell="N24" sqref="N24"/>
    </sheetView>
  </sheetViews>
  <sheetFormatPr defaultRowHeight="15" x14ac:dyDescent="0.25"/>
  <cols>
    <col min="3" max="3" width="15.42578125" customWidth="1"/>
    <col min="4" max="4" width="62.28515625" bestFit="1" customWidth="1"/>
    <col min="5" max="5" width="11.85546875" bestFit="1" customWidth="1"/>
    <col min="16" max="16" width="10.85546875" bestFit="1" customWidth="1"/>
    <col min="17" max="17" width="11.85546875" bestFit="1" customWidth="1"/>
  </cols>
  <sheetData>
    <row r="1" spans="1:17" ht="75.75" thickBot="1" x14ac:dyDescent="0.3">
      <c r="A1" s="26" t="s">
        <v>57</v>
      </c>
      <c r="B1" s="27" t="s">
        <v>0</v>
      </c>
      <c r="C1" s="28" t="s">
        <v>1</v>
      </c>
      <c r="D1" s="28" t="s">
        <v>2</v>
      </c>
      <c r="E1" s="29" t="s">
        <v>58</v>
      </c>
      <c r="F1" s="30" t="s">
        <v>59</v>
      </c>
      <c r="G1" s="31" t="s">
        <v>60</v>
      </c>
      <c r="H1" s="32" t="s">
        <v>61</v>
      </c>
      <c r="I1" s="33" t="s">
        <v>62</v>
      </c>
      <c r="J1" s="34" t="s">
        <v>63</v>
      </c>
      <c r="K1" s="35" t="s">
        <v>64</v>
      </c>
      <c r="L1" s="35" t="s">
        <v>65</v>
      </c>
      <c r="M1" s="36" t="s">
        <v>66</v>
      </c>
      <c r="N1" s="37" t="s">
        <v>67</v>
      </c>
      <c r="O1" s="37" t="s">
        <v>68</v>
      </c>
      <c r="P1" s="37" t="s">
        <v>69</v>
      </c>
      <c r="Q1" s="38" t="s">
        <v>70</v>
      </c>
    </row>
    <row r="2" spans="1:17" ht="15.75" thickBot="1" x14ac:dyDescent="0.3">
      <c r="B2" s="39"/>
      <c r="C2" s="16"/>
      <c r="D2" t="s">
        <v>14</v>
      </c>
      <c r="E2" s="24">
        <v>75394.63</v>
      </c>
      <c r="F2">
        <v>88</v>
      </c>
      <c r="G2" s="15">
        <f t="shared" ref="G2:G12" si="0">IFERROR(F2,0)</f>
        <v>88</v>
      </c>
      <c r="H2" s="24">
        <f t="shared" ref="H2:H12" si="1">100*G2/SUM(G:G)</f>
        <v>0.73351671251146122</v>
      </c>
      <c r="I2" t="str">
        <f t="shared" ref="I2:I12" si="2">IF(H2&gt;=10,H2,"NE")</f>
        <v>NE</v>
      </c>
      <c r="J2" t="str">
        <f t="shared" ref="J2:J12" si="3">IF(I2=H2,E2,"NE")</f>
        <v>NE</v>
      </c>
      <c r="K2" t="e">
        <f t="shared" ref="K2:K12" si="4">IF(J2=$M$2,G2,IF(J2=$M$3,G2,IF(J2=$M$4,G2,"NE")))</f>
        <v>#NUM!</v>
      </c>
      <c r="L2">
        <f t="shared" ref="L2:L12" si="5">IF(G2=0,"NE",E2)</f>
        <v>75394.63</v>
      </c>
      <c r="M2" s="41" t="e">
        <f>SMALL(J:J,3)</f>
        <v>#NUM!</v>
      </c>
      <c r="N2" t="e">
        <f>AVERAGE(M2:M3)</f>
        <v>#NUM!</v>
      </c>
      <c r="O2" s="24" t="e">
        <f>100*M4/N2</f>
        <v>#NUM!</v>
      </c>
      <c r="P2" t="b">
        <f>ISNUMBER(M2)</f>
        <v>0</v>
      </c>
      <c r="Q2" s="42">
        <f>IF(P2=FALSE,SUMPRODUCT(L2:L1000,G2:G1000)/SUM(G2:G1000), IF(O2&lt;80,N2,SUMPRODUCT(J2:J1000,K2:K1000)/SUM(K2:K1000)))</f>
        <v>62098.435752271405</v>
      </c>
    </row>
    <row r="3" spans="1:17" x14ac:dyDescent="0.25">
      <c r="B3" s="39"/>
      <c r="C3" s="15"/>
      <c r="D3" s="15" t="s">
        <v>26</v>
      </c>
      <c r="E3">
        <v>58141.58</v>
      </c>
      <c r="F3">
        <v>605</v>
      </c>
      <c r="G3" s="15">
        <f t="shared" si="0"/>
        <v>605</v>
      </c>
      <c r="H3" s="24">
        <f t="shared" si="1"/>
        <v>5.0429273985162961</v>
      </c>
      <c r="I3" t="str">
        <f t="shared" si="2"/>
        <v>NE</v>
      </c>
      <c r="J3" t="str">
        <f t="shared" si="3"/>
        <v>NE</v>
      </c>
      <c r="K3" t="e">
        <f t="shared" si="4"/>
        <v>#NUM!</v>
      </c>
      <c r="L3">
        <f t="shared" si="5"/>
        <v>58141.58</v>
      </c>
      <c r="M3" s="41">
        <f>SMALL(J:J,2)</f>
        <v>74638.710000000006</v>
      </c>
    </row>
    <row r="4" spans="1:17" x14ac:dyDescent="0.25">
      <c r="B4" s="39"/>
      <c r="C4" s="15"/>
      <c r="D4" s="15" t="s">
        <v>42</v>
      </c>
      <c r="E4">
        <v>62711.21</v>
      </c>
      <c r="F4">
        <f>177+712+1</f>
        <v>890</v>
      </c>
      <c r="G4" s="15">
        <f t="shared" si="0"/>
        <v>890</v>
      </c>
      <c r="H4" s="24">
        <f t="shared" si="1"/>
        <v>7.4185212969909147</v>
      </c>
      <c r="I4" t="str">
        <f t="shared" si="2"/>
        <v>NE</v>
      </c>
      <c r="J4" s="41" t="str">
        <f t="shared" si="3"/>
        <v>NE</v>
      </c>
      <c r="K4" t="e">
        <f t="shared" si="4"/>
        <v>#NUM!</v>
      </c>
      <c r="L4">
        <f t="shared" si="5"/>
        <v>62711.21</v>
      </c>
      <c r="M4" s="41">
        <f>SMALL(J:J,1)</f>
        <v>59000.28</v>
      </c>
    </row>
    <row r="5" spans="1:17" x14ac:dyDescent="0.25">
      <c r="B5" s="39"/>
      <c r="C5" s="15"/>
      <c r="D5" s="43" t="s">
        <v>51</v>
      </c>
      <c r="E5">
        <v>74638.710000000006</v>
      </c>
      <c r="F5">
        <f>131+1727+140</f>
        <v>1998</v>
      </c>
      <c r="G5" s="15">
        <f t="shared" si="0"/>
        <v>1998</v>
      </c>
      <c r="H5" s="24">
        <f t="shared" si="1"/>
        <v>16.654163540885222</v>
      </c>
      <c r="I5">
        <f t="shared" si="2"/>
        <v>16.654163540885222</v>
      </c>
      <c r="J5">
        <f t="shared" si="3"/>
        <v>74638.710000000006</v>
      </c>
      <c r="K5" t="e">
        <f t="shared" si="4"/>
        <v>#NUM!</v>
      </c>
      <c r="L5">
        <f t="shared" si="5"/>
        <v>74638.710000000006</v>
      </c>
    </row>
    <row r="6" spans="1:17" x14ac:dyDescent="0.25">
      <c r="B6" s="39"/>
      <c r="C6" s="15"/>
      <c r="D6" s="15" t="s">
        <v>52</v>
      </c>
      <c r="E6">
        <v>80739.22</v>
      </c>
      <c r="F6">
        <v>45</v>
      </c>
      <c r="G6" s="15">
        <f t="shared" si="0"/>
        <v>45</v>
      </c>
      <c r="H6" s="24">
        <f t="shared" si="1"/>
        <v>0.37509377344336087</v>
      </c>
      <c r="I6" t="str">
        <f t="shared" si="2"/>
        <v>NE</v>
      </c>
      <c r="J6" t="str">
        <f t="shared" si="3"/>
        <v>NE</v>
      </c>
      <c r="K6" t="e">
        <f t="shared" si="4"/>
        <v>#NUM!</v>
      </c>
      <c r="L6">
        <f t="shared" si="5"/>
        <v>80739.22</v>
      </c>
    </row>
    <row r="7" spans="1:17" x14ac:dyDescent="0.25">
      <c r="B7" s="39"/>
      <c r="C7" s="15"/>
      <c r="D7" s="15" t="s">
        <v>53</v>
      </c>
      <c r="E7">
        <v>72919.350000000006</v>
      </c>
      <c r="F7">
        <f>2+85+29</f>
        <v>116</v>
      </c>
      <c r="G7" s="15">
        <f t="shared" si="0"/>
        <v>116</v>
      </c>
      <c r="H7" s="24">
        <f t="shared" si="1"/>
        <v>0.96690839376510795</v>
      </c>
      <c r="I7" t="str">
        <f t="shared" si="2"/>
        <v>NE</v>
      </c>
      <c r="J7" t="str">
        <f t="shared" si="3"/>
        <v>NE</v>
      </c>
      <c r="K7" t="e">
        <f t="shared" si="4"/>
        <v>#NUM!</v>
      </c>
      <c r="L7">
        <f t="shared" si="5"/>
        <v>72919.350000000006</v>
      </c>
    </row>
    <row r="8" spans="1:17" x14ac:dyDescent="0.25">
      <c r="B8" s="39"/>
      <c r="C8" s="15"/>
      <c r="D8" s="43" t="s">
        <v>56</v>
      </c>
      <c r="E8">
        <v>59000.28</v>
      </c>
      <c r="F8">
        <f>2725+2666+2764</f>
        <v>8155</v>
      </c>
      <c r="G8" s="15">
        <f t="shared" si="0"/>
        <v>8155</v>
      </c>
      <c r="H8" s="24">
        <f t="shared" si="1"/>
        <v>67.975327165124611</v>
      </c>
      <c r="I8">
        <f t="shared" si="2"/>
        <v>67.975327165124611</v>
      </c>
      <c r="J8">
        <f t="shared" si="3"/>
        <v>59000.28</v>
      </c>
      <c r="K8" t="e">
        <f t="shared" si="4"/>
        <v>#NUM!</v>
      </c>
      <c r="L8">
        <f t="shared" si="5"/>
        <v>59000.28</v>
      </c>
      <c r="Q8" s="14" t="s">
        <v>71</v>
      </c>
    </row>
    <row r="9" spans="1:17" x14ac:dyDescent="0.25">
      <c r="B9" s="39"/>
      <c r="C9" s="15"/>
      <c r="D9" s="15" t="s">
        <v>54</v>
      </c>
      <c r="E9">
        <v>50042.38</v>
      </c>
      <c r="F9">
        <f>46+5+49</f>
        <v>100</v>
      </c>
      <c r="G9" s="15">
        <f t="shared" si="0"/>
        <v>100</v>
      </c>
      <c r="H9" s="24">
        <f t="shared" si="1"/>
        <v>0.83354171876302408</v>
      </c>
      <c r="I9" t="str">
        <f t="shared" si="2"/>
        <v>NE</v>
      </c>
      <c r="J9" t="str">
        <f t="shared" si="3"/>
        <v>NE</v>
      </c>
      <c r="K9" t="e">
        <f t="shared" si="4"/>
        <v>#NUM!</v>
      </c>
      <c r="L9">
        <f t="shared" si="5"/>
        <v>50042.38</v>
      </c>
      <c r="Q9" s="50">
        <f>((E5*F5)+(E8*F8))/(F5+F8)</f>
        <v>62077.752977445089</v>
      </c>
    </row>
    <row r="10" spans="1:17" x14ac:dyDescent="0.25">
      <c r="B10" s="39"/>
      <c r="C10" s="15"/>
      <c r="D10" s="15"/>
      <c r="E10" s="40"/>
      <c r="F10" s="24"/>
      <c r="G10" s="15">
        <f t="shared" si="0"/>
        <v>0</v>
      </c>
      <c r="H10" s="24">
        <f t="shared" si="1"/>
        <v>0</v>
      </c>
      <c r="I10" t="str">
        <f t="shared" si="2"/>
        <v>NE</v>
      </c>
      <c r="J10" t="str">
        <f t="shared" si="3"/>
        <v>NE</v>
      </c>
      <c r="K10" t="e">
        <f t="shared" si="4"/>
        <v>#NUM!</v>
      </c>
      <c r="L10" t="str">
        <f t="shared" si="5"/>
        <v>NE</v>
      </c>
    </row>
    <row r="11" spans="1:17" x14ac:dyDescent="0.25">
      <c r="B11" s="39"/>
      <c r="C11" s="15"/>
      <c r="D11" s="15"/>
      <c r="E11" s="40"/>
      <c r="F11" s="24"/>
      <c r="G11" s="15">
        <f t="shared" si="0"/>
        <v>0</v>
      </c>
      <c r="H11" s="24">
        <f t="shared" si="1"/>
        <v>0</v>
      </c>
      <c r="I11" t="str">
        <f t="shared" si="2"/>
        <v>NE</v>
      </c>
      <c r="J11" t="str">
        <f t="shared" si="3"/>
        <v>NE</v>
      </c>
      <c r="K11" t="e">
        <f t="shared" si="4"/>
        <v>#NUM!</v>
      </c>
      <c r="L11" t="str">
        <f t="shared" si="5"/>
        <v>NE</v>
      </c>
    </row>
    <row r="12" spans="1:17" x14ac:dyDescent="0.25">
      <c r="B12" s="39"/>
      <c r="C12" s="15"/>
      <c r="D12" s="15"/>
      <c r="E12" s="40"/>
      <c r="F12" s="24"/>
      <c r="G12" s="15">
        <f t="shared" si="0"/>
        <v>0</v>
      </c>
      <c r="H12" s="24">
        <f t="shared" si="1"/>
        <v>0</v>
      </c>
      <c r="I12" t="str">
        <f t="shared" si="2"/>
        <v>NE</v>
      </c>
      <c r="J12" t="str">
        <f t="shared" si="3"/>
        <v>NE</v>
      </c>
      <c r="K12" t="e">
        <f t="shared" si="4"/>
        <v>#NUM!</v>
      </c>
      <c r="L12" t="str">
        <f t="shared" si="5"/>
        <v>NE</v>
      </c>
    </row>
    <row r="13" spans="1:17" x14ac:dyDescent="0.25">
      <c r="Q13" s="14" t="s">
        <v>72</v>
      </c>
    </row>
    <row r="14" spans="1:17" x14ac:dyDescent="0.25">
      <c r="Q14" s="50">
        <v>65138</v>
      </c>
    </row>
    <row r="17" spans="17:17" x14ac:dyDescent="0.25">
      <c r="Q17" s="48" t="s">
        <v>73</v>
      </c>
    </row>
    <row r="18" spans="17:17" x14ac:dyDescent="0.25">
      <c r="Q18" s="49">
        <f>Q9-Q14</f>
        <v>-3060.2470225549114</v>
      </c>
    </row>
  </sheetData>
  <conditionalFormatting sqref="H2:H12">
    <cfRule type="cellIs" priority="4" operator="greaterThanOrEqual">
      <formula>10</formula>
    </cfRule>
  </conditionalFormatting>
  <conditionalFormatting sqref="I1 H1:H12">
    <cfRule type="cellIs" dxfId="2" priority="3" operator="greaterThanOrEqual">
      <formula>10</formula>
    </cfRule>
  </conditionalFormatting>
  <conditionalFormatting sqref="O2">
    <cfRule type="cellIs" dxfId="1" priority="1" operator="lessThan">
      <formula>80</formula>
    </cfRule>
    <cfRule type="cellIs" dxfId="0" priority="2" operator="greaterThan">
      <formula>120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Referenční sestavy ZUM</vt:lpstr>
      <vt:lpstr>Referenční úhrada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Červenková</dc:creator>
  <cp:lastModifiedBy>Milena Novotná</cp:lastModifiedBy>
  <dcterms:created xsi:type="dcterms:W3CDTF">2024-02-26T12:19:45Z</dcterms:created>
  <dcterms:modified xsi:type="dcterms:W3CDTF">2024-06-20T18:36:54Z</dcterms:modified>
</cp:coreProperties>
</file>